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570" windowHeight="10890"/>
  </bookViews>
  <sheets>
    <sheet name="Parameters" sheetId="1" r:id="rId1"/>
  </sheets>
  <definedNames>
    <definedName name="_MHD2">Parameters!$G$34</definedName>
    <definedName name="A">Parameters!#REF!</definedName>
    <definedName name="A_22">Parameters!$C$30</definedName>
    <definedName name="A_32">Parameters!$C$31</definedName>
    <definedName name="Ad">Parameters!$K$5</definedName>
    <definedName name="AFT">Parameters!$G$16</definedName>
    <definedName name="AG">Parameters!$G$18</definedName>
    <definedName name="aL">Parameters!$Q$8</definedName>
    <definedName name="ALB">Parameters!$Q$15</definedName>
    <definedName name="ALP">Parameters!$Q$11</definedName>
    <definedName name="AMS">Parameters!$G$15</definedName>
    <definedName name="AN">Parameters!$Q$4</definedName>
    <definedName name="Ar">Parameters!$K$8</definedName>
    <definedName name="area_mast">#REF!</definedName>
    <definedName name="arg">#REF!</definedName>
    <definedName name="arm">#REF!</definedName>
    <definedName name="AS">Parameters!$G$17</definedName>
    <definedName name="AWP">Parameters!$C$24</definedName>
    <definedName name="AWS">Parameters!$C$25</definedName>
    <definedName name="B_22">Parameters!$D$30</definedName>
    <definedName name="B_32">Parameters!$D$31</definedName>
    <definedName name="B1H">Parameters!$C$12</definedName>
    <definedName name="BAS">Parameters!$G$9</definedName>
    <definedName name="BCB">Parameters!$C$19</definedName>
    <definedName name="BCP">Parameters!#REF!</definedName>
    <definedName name="beam">#REF!</definedName>
    <definedName name="BH">Parameters!$C$22</definedName>
    <definedName name="BMlong">Parameters!$C$21</definedName>
    <definedName name="BMtrans">Parameters!$C$20</definedName>
    <definedName name="BN">Parameters!$K$23</definedName>
    <definedName name="BWL">Parameters!$C$13</definedName>
    <definedName name="BWL_Tc">Parameters!$C$7</definedName>
    <definedName name="CA">Parameters!#REF!</definedName>
    <definedName name="cat.corr">#REF!</definedName>
    <definedName name="Cd">Parameters!$K$6</definedName>
    <definedName name="CL">Parameters!$Q$14</definedName>
    <definedName name="CLH">Parameters!$Q$9</definedName>
    <definedName name="CLP">Parameters!$Q$10</definedName>
    <definedName name="Cm">Parameters!$C$8</definedName>
    <definedName name="Cp">Parameters!$C$9</definedName>
    <definedName name="Cr">Parameters!$K$9</definedName>
    <definedName name="crew">#REF!</definedName>
    <definedName name="Cw">Parameters!$C$10</definedName>
    <definedName name="D">Parameters!$C$15</definedName>
    <definedName name="Dist">Parameters!$K$14</definedName>
    <definedName name="draft">#REF!</definedName>
    <definedName name="DynPress">#REF!</definedName>
    <definedName name="E">Parameters!$G$11</definedName>
    <definedName name="eg">#REF!</definedName>
    <definedName name="em">#REF!</definedName>
    <definedName name="EP">Parameters!$K$12</definedName>
    <definedName name="FBI">Parameters!$G$8</definedName>
    <definedName name="FGZmax">Parameters!$G$30</definedName>
    <definedName name="FH">Parameters!$Q$12</definedName>
    <definedName name="Fs">Parameters!$Q$6</definedName>
    <definedName name="FSB">Parameters!$Q$13</definedName>
    <definedName name="HCE">Parameters!$G$23</definedName>
    <definedName name="HCEd">Parameters!$Q$5</definedName>
    <definedName name="heeling">#REF!</definedName>
    <definedName name="HFT">Parameters!$G$21</definedName>
    <definedName name="HLP">Parameters!$G$20</definedName>
    <definedName name="HM">Parameters!$G$19</definedName>
    <definedName name="HMS">Parameters!$G$22</definedName>
    <definedName name="I">Parameters!$G$12</definedName>
    <definedName name="J">Parameters!$G$13</definedName>
    <definedName name="K">Parameters!#REF!</definedName>
    <definedName name="kE">Parameters!$G$5</definedName>
    <definedName name="keel">#REF!</definedName>
    <definedName name="kF">Parameters!$G$7</definedName>
    <definedName name="kJ">Parameters!$G$6</definedName>
    <definedName name="kP">Parameters!$G$4</definedName>
    <definedName name="L_B">Parameters!$C$11</definedName>
    <definedName name="Ld">Parameters!$K$4</definedName>
    <definedName name="LDR">Parameters!$C$16</definedName>
    <definedName name="LF">Parameters!$G$14</definedName>
    <definedName name="LH">Parameters!$C$4</definedName>
    <definedName name="LM">Parameters!#REF!</definedName>
    <definedName name="LMP">Parameters!$G$32</definedName>
    <definedName name="LMR">Parameters!$G$31</definedName>
    <definedName name="Lr">Parameters!#REF!</definedName>
    <definedName name="LWL">Parameters!$C$5</definedName>
    <definedName name="LWL_BWL">Parameters!$C$6</definedName>
    <definedName name="MHD">Parameters!$G$25</definedName>
    <definedName name="mLCC">Parameters!$C$17</definedName>
    <definedName name="mLDC">Parameters!$C$15</definedName>
    <definedName name="mMOC">Parameters!$C$18</definedName>
    <definedName name="MR">Parameters!$G$26</definedName>
    <definedName name="MRD">Parameters!$G$26</definedName>
    <definedName name="msad">#REF!</definedName>
    <definedName name="msag">#REF!</definedName>
    <definedName name="msam">#REF!</definedName>
    <definedName name="msas">#REF!</definedName>
    <definedName name="msascr">#REF!</definedName>
    <definedName name="P">Parameters!$G$10</definedName>
    <definedName name="prop">#REF!</definedName>
    <definedName name="rated_weight">#REF!</definedName>
    <definedName name="righting">#REF!</definedName>
    <definedName name="RL" localSheetId="0">Parameters!#REF!</definedName>
    <definedName name="rl">#REF!</definedName>
    <definedName name="RMD">Parameters!$G$26</definedName>
    <definedName name="RMDCAT">Parameters!$G$33</definedName>
    <definedName name="RS">Parameters!#REF!</definedName>
    <definedName name="rsa">#REF!</definedName>
    <definedName name="rsad">#REF!</definedName>
    <definedName name="rsag">#REF!</definedName>
    <definedName name="rsam">#REF!</definedName>
    <definedName name="rsas">#REF!</definedName>
    <definedName name="RSJ">Parameters!#REF!</definedName>
    <definedName name="RSS">Parameters!#REF!</definedName>
    <definedName name="RW">Parameters!#REF!</definedName>
    <definedName name="SF">Parameters!$C$27</definedName>
    <definedName name="SWR">Parameters!$K$21</definedName>
    <definedName name="Tc">Parameters!$C$14</definedName>
    <definedName name="Td">Parameters!$K$7</definedName>
    <definedName name="Tr">Parameters!$K$10</definedName>
    <definedName name="tri">#REF!</definedName>
    <definedName name="TRr">Parameters!$Q$17</definedName>
    <definedName name="Tru">Parameters!$Q$16</definedName>
    <definedName name="VAWK">Parameters!$G$24</definedName>
    <definedName name="vlg">#REF!</definedName>
    <definedName name="vlm">#REF!</definedName>
    <definedName name="Vm">Parameters!$K$13</definedName>
    <definedName name="VT">Parameters!$K$27</definedName>
    <definedName name="Vuw">Parameters!$Q$7</definedName>
    <definedName name="VW">Parameters!$G$27</definedName>
    <definedName name="VWd">Parameters!#REF!</definedName>
    <definedName name="width">#REF!</definedName>
    <definedName name="windcoeff">#REF!</definedName>
    <definedName name="wm">#REF!</definedName>
    <definedName name="ZWD">Parameters!$C$23</definedName>
  </definedNames>
  <calcPr calcId="125725"/>
</workbook>
</file>

<file path=xl/calcChain.xml><?xml version="1.0" encoding="utf-8"?>
<calcChain xmlns="http://schemas.openxmlformats.org/spreadsheetml/2006/main">
  <c r="C19" i="1"/>
  <c r="C22" s="1"/>
  <c r="C13"/>
  <c r="C24" s="1"/>
  <c r="G10"/>
  <c r="G22" s="1"/>
  <c r="G11"/>
  <c r="G13"/>
  <c r="Q10"/>
  <c r="Q14"/>
  <c r="K13"/>
  <c r="C23"/>
  <c r="C30"/>
  <c r="D30"/>
  <c r="C31"/>
  <c r="D31"/>
  <c r="G12" l="1"/>
  <c r="G19"/>
  <c r="G15"/>
  <c r="C14"/>
  <c r="C15" s="1"/>
  <c r="G16" l="1"/>
  <c r="G17" s="1"/>
  <c r="G14"/>
  <c r="G18"/>
  <c r="Q4"/>
  <c r="G21"/>
  <c r="C16"/>
  <c r="G20"/>
  <c r="G33"/>
  <c r="C21"/>
  <c r="C18"/>
  <c r="C17"/>
  <c r="K12"/>
  <c r="C20"/>
  <c r="Q9"/>
  <c r="C25"/>
  <c r="Q11"/>
  <c r="Q5" l="1"/>
  <c r="Q17"/>
  <c r="G23"/>
  <c r="G30"/>
  <c r="K30" s="1"/>
  <c r="C27"/>
  <c r="C26" s="1"/>
  <c r="G24" s="1"/>
  <c r="G32"/>
  <c r="K19"/>
  <c r="K18"/>
  <c r="K15"/>
  <c r="K16"/>
  <c r="K22"/>
  <c r="K23"/>
  <c r="Q16"/>
  <c r="G34" l="1"/>
  <c r="G25" s="1"/>
  <c r="G31"/>
  <c r="G26" s="1"/>
  <c r="G27" s="1"/>
  <c r="Q6" l="1"/>
  <c r="Q7"/>
  <c r="Q12" s="1"/>
  <c r="K26"/>
  <c r="K25"/>
  <c r="Q13" l="1"/>
  <c r="Q15" s="1"/>
  <c r="K21" s="1"/>
  <c r="K5" l="1"/>
  <c r="K7" s="1"/>
  <c r="K6" s="1"/>
  <c r="K8"/>
  <c r="K10" s="1"/>
  <c r="K9" s="1"/>
</calcChain>
</file>

<file path=xl/comments1.xml><?xml version="1.0" encoding="utf-8"?>
<comments xmlns="http://schemas.openxmlformats.org/spreadsheetml/2006/main">
  <authors>
    <author>Terho</author>
  </authors>
  <commentList>
    <comment ref="C4" authorId="0">
      <text>
        <r>
          <rPr>
            <b/>
            <sz val="8"/>
            <color indexed="81"/>
            <rFont val="Tahoma"/>
          </rPr>
          <t xml:space="preserve">
Equal to Length Over All (LOA)</t>
        </r>
        <r>
          <rPr>
            <sz val="8"/>
            <color indexed="81"/>
            <rFont val="Tahoma"/>
          </rPr>
          <t xml:space="preserve">
</t>
        </r>
      </text>
    </comment>
    <comment ref="G4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Proportional height of mainsail luff P
100 % = LWL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Adjust for wanted Reefing wind speed  (V</t>
        </r>
        <r>
          <rPr>
            <b/>
            <vertAlign val="subscript"/>
            <sz val="8"/>
            <color indexed="81"/>
            <rFont val="Tahoma"/>
            <family val="2"/>
          </rPr>
          <t>W</t>
        </r>
        <r>
          <rPr>
            <b/>
            <sz val="8"/>
            <color indexed="81"/>
            <rFont val="Tahoma"/>
            <family val="2"/>
          </rPr>
          <t>)</t>
        </r>
      </text>
    </comment>
    <comment ref="C5" authorId="0">
      <text>
        <r>
          <rPr>
            <b/>
            <sz val="8"/>
            <color indexed="81"/>
            <rFont val="Tahoma"/>
          </rPr>
          <t xml:space="preserve">
Length wateline at  Loaded Displacement (</t>
        </r>
        <r>
          <rPr>
            <b/>
            <sz val="8"/>
            <color indexed="81"/>
            <rFont val="Symbol"/>
            <family val="1"/>
            <charset val="2"/>
          </rPr>
          <t>D</t>
        </r>
        <r>
          <rPr>
            <b/>
            <sz val="8"/>
            <color indexed="81"/>
            <rFont val="Tahoma"/>
          </rPr>
          <t>)</t>
        </r>
        <r>
          <rPr>
            <sz val="8"/>
            <color indexed="81"/>
            <rFont val="Tahoma"/>
          </rPr>
          <t xml:space="preserve">
</t>
        </r>
      </text>
    </comment>
    <comment ref="G5" authorId="0">
      <text>
        <r>
          <rPr>
            <b/>
            <sz val="8"/>
            <color indexed="81"/>
            <rFont val="Tahoma"/>
          </rPr>
          <t xml:space="preserve">
Proportional length of mainsail base E, 100 % = LWL
Try 45 % without advance data
Normally 35-60 %</t>
        </r>
        <r>
          <rPr>
            <sz val="8"/>
            <color indexed="81"/>
            <rFont val="Tahoma"/>
          </rPr>
          <t xml:space="preserve">
</t>
        </r>
      </text>
    </comment>
    <comment ref="C6" authorId="0">
      <text>
        <r>
          <rPr>
            <b/>
            <sz val="8"/>
            <color indexed="81"/>
            <rFont val="Tahoma"/>
          </rPr>
          <t xml:space="preserve">
Adjust for target loaded displacement (</t>
        </r>
        <r>
          <rPr>
            <sz val="10"/>
            <color indexed="81"/>
            <rFont val="Symbol"/>
            <family val="1"/>
            <charset val="2"/>
          </rPr>
          <t>D</t>
        </r>
        <r>
          <rPr>
            <b/>
            <sz val="8"/>
            <color indexed="81"/>
            <rFont val="Tahoma"/>
          </rPr>
          <t>)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Cruising cats 7-12
Racing cats 12-20
Ocean racers 20-30</t>
        </r>
      </text>
    </comment>
    <comment ref="G6" authorId="0">
      <text>
        <r>
          <rPr>
            <b/>
            <sz val="8"/>
            <color indexed="81"/>
            <rFont val="Tahoma"/>
          </rPr>
          <t xml:space="preserve">
Proportional length of foretriangle base J
Adjust for Foretriangle aspect ratio </t>
        </r>
        <r>
          <rPr>
            <b/>
            <sz val="8"/>
            <color indexed="81"/>
            <rFont val="Symbol"/>
            <family val="1"/>
            <charset val="2"/>
          </rPr>
          <t>L</t>
        </r>
        <r>
          <rPr>
            <b/>
            <sz val="8"/>
            <color indexed="81"/>
            <rFont val="Tahoma"/>
          </rPr>
          <t>F</t>
        </r>
        <r>
          <rPr>
            <sz val="8"/>
            <color indexed="81"/>
            <rFont val="Tahoma"/>
          </rPr>
          <t xml:space="preserve">
</t>
        </r>
      </text>
    </comment>
    <comment ref="C7" authorId="0">
      <text>
        <r>
          <rPr>
            <b/>
            <sz val="8"/>
            <color indexed="81"/>
            <rFont val="Tahoma"/>
          </rPr>
          <t xml:space="preserve">
Reasonable range 1.1 -3.0
2.0 to minimize wetted surface
Deep-V = 1.1 - 1.4</t>
        </r>
      </text>
    </comment>
    <comment ref="G7" authorId="0">
      <text>
        <r>
          <rPr>
            <b/>
            <sz val="8"/>
            <color indexed="81"/>
            <rFont val="Tahoma"/>
          </rPr>
          <t xml:space="preserve">
Proportional size of fore sail,
foretriangle area = 100 %
Self tacking Jib = 90 - 95 %
Jib 110 - 120 %
Genoa 135 - 155 %
Drifter 200 - 250 %</t>
        </r>
      </text>
    </comment>
    <comment ref="C8" authorId="0">
      <text>
        <r>
          <rPr>
            <b/>
            <sz val="8"/>
            <color indexed="81"/>
            <rFont val="Tahoma"/>
          </rPr>
          <t xml:space="preserve">
Elliptical = 0.785
Parabola = 0.667
Deep-V = 0.51</t>
        </r>
        <r>
          <rPr>
            <sz val="8"/>
            <color indexed="81"/>
            <rFont val="Tahoma"/>
          </rPr>
          <t xml:space="preserve">
</t>
        </r>
      </text>
    </comment>
    <comment ref="G8" authorId="0">
      <text>
        <r>
          <rPr>
            <b/>
            <sz val="8"/>
            <color indexed="81"/>
            <rFont val="Tahoma"/>
          </rPr>
          <t xml:space="preserve">
Heigth of mast foot from design waterline</t>
        </r>
        <r>
          <rPr>
            <sz val="8"/>
            <color indexed="81"/>
            <rFont val="Tahoma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</rPr>
          <t xml:space="preserve">
For cruising cats  0.57 - 0.60</t>
        </r>
        <r>
          <rPr>
            <sz val="8"/>
            <color indexed="81"/>
            <rFont val="Tahoma"/>
          </rPr>
          <t xml:space="preserve">
</t>
        </r>
      </text>
    </comment>
    <comment ref="G9" authorId="0">
      <text>
        <r>
          <rPr>
            <b/>
            <sz val="8"/>
            <color indexed="81"/>
            <rFont val="Tahoma"/>
          </rPr>
          <t xml:space="preserve">
Mainsail base height from mast foot</t>
        </r>
        <r>
          <rPr>
            <sz val="8"/>
            <color indexed="81"/>
            <rFont val="Tahoma"/>
          </rPr>
          <t xml:space="preserve">
</t>
        </r>
      </text>
    </comment>
    <comment ref="C10" authorId="0">
      <text>
        <r>
          <rPr>
            <b/>
            <sz val="8"/>
            <color indexed="81"/>
            <rFont val="Tahoma"/>
          </rPr>
          <t xml:space="preserve">
Normal value 0.70-0.72</t>
        </r>
        <r>
          <rPr>
            <sz val="8"/>
            <color indexed="81"/>
            <rFont val="Tahoma"/>
          </rPr>
          <t xml:space="preserve">
</t>
        </r>
      </text>
    </comment>
    <comment ref="C11" authorId="0">
      <text>
        <r>
          <rPr>
            <b/>
            <sz val="8"/>
            <color indexed="81"/>
            <rFont val="Tahoma"/>
          </rPr>
          <t xml:space="preserve">
Length of hull/Beam between hull centers
Optimum 2.2 
</t>
        </r>
        <r>
          <rPr>
            <b/>
            <sz val="8"/>
            <color indexed="81"/>
            <rFont val="Tahoma"/>
            <family val="2"/>
          </rPr>
          <t>below 2.2 catamaran is wide
between 2.2 and 3.2 catamaran  is "normal"
above 3.2 catamaran is narrow</t>
        </r>
      </text>
    </comment>
    <comment ref="C12" authorId="0">
      <text>
        <r>
          <rPr>
            <b/>
            <sz val="8"/>
            <color indexed="81"/>
            <rFont val="Tahoma"/>
          </rPr>
          <t xml:space="preserve">
Beam of one hull or Beam outside centerlines</t>
        </r>
        <r>
          <rPr>
            <sz val="8"/>
            <color indexed="81"/>
            <rFont val="Tahoma"/>
          </rPr>
          <t xml:space="preserve">
</t>
        </r>
      </text>
    </comment>
    <comment ref="G14" authorId="0">
      <text>
        <r>
          <rPr>
            <b/>
            <sz val="8"/>
            <color indexed="81"/>
            <rFont val="Tahoma"/>
          </rPr>
          <t xml:space="preserve">
Range: 2.8 - 3.5
Best: 3.0 - 3.2</t>
        </r>
        <r>
          <rPr>
            <sz val="8"/>
            <color indexed="81"/>
            <rFont val="Tahoma"/>
          </rPr>
          <t xml:space="preserve">
</t>
        </r>
      </text>
    </comment>
    <comment ref="C15" authorId="0">
      <text>
        <r>
          <rPr>
            <b/>
            <sz val="8"/>
            <color indexed="81"/>
            <rFont val="Tahoma"/>
          </rPr>
          <t xml:space="preserve">
Loaded Displacement
Adjust to target value by lenght/beam ratio</t>
        </r>
        <r>
          <rPr>
            <sz val="8"/>
            <color indexed="81"/>
            <rFont val="Tahoma"/>
          </rPr>
          <t xml:space="preserve">
</t>
        </r>
      </text>
    </comment>
    <comment ref="C16" authorId="0">
      <text>
        <r>
          <rPr>
            <b/>
            <sz val="8"/>
            <color indexed="81"/>
            <rFont val="Tahoma"/>
          </rPr>
          <t xml:space="preserve">
Higher value means lighter boat
about 5 is heavy, high accommodation cruiser
about 6 is average, high accommodation cruiser
about 7 is performance cruiser with low accommodation
above 8 is racer with very limited accommodation</t>
        </r>
      </text>
    </comment>
    <comment ref="C21" authorId="0">
      <text>
        <r>
          <rPr>
            <b/>
            <sz val="8"/>
            <color indexed="81"/>
            <rFont val="Tahoma"/>
          </rPr>
          <t xml:space="preserve">
Should be bigger or equal to BM</t>
        </r>
        <r>
          <rPr>
            <b/>
            <vertAlign val="subscript"/>
            <sz val="8"/>
            <color indexed="81"/>
            <rFont val="Tahoma"/>
            <family val="2"/>
          </rPr>
          <t>trans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Boat is sensitive for hobby horsing, if &lt;10.</t>
        </r>
      </text>
    </comment>
    <comment ref="K21" authorId="0">
      <text>
        <r>
          <rPr>
            <b/>
            <sz val="8"/>
            <color indexed="81"/>
            <rFont val="Tahoma"/>
          </rPr>
          <t xml:space="preserve">
Light wind performance
SWR &lt; 2.0 slow
SWR &gt; 2.5 fast</t>
        </r>
        <r>
          <rPr>
            <sz val="8"/>
            <color indexed="81"/>
            <rFont val="Tahoma"/>
          </rPr>
          <t xml:space="preserve">
</t>
        </r>
      </text>
    </comment>
    <comment ref="G24" authorId="0">
      <text>
        <r>
          <rPr>
            <b/>
            <sz val="8"/>
            <color indexed="81"/>
            <rFont val="Tahoma"/>
          </rPr>
          <t xml:space="preserve">
Design wind speed for rig design
(ISO 12215-9)</t>
        </r>
      </text>
    </comment>
    <comment ref="G25" authorId="0">
      <text>
        <r>
          <rPr>
            <b/>
            <sz val="8"/>
            <color indexed="81"/>
            <rFont val="Tahoma"/>
          </rPr>
          <t xml:space="preserve">
Design righting moment for rig design
(ISO 12215-9)</t>
        </r>
        <r>
          <rPr>
            <sz val="8"/>
            <color indexed="81"/>
            <rFont val="Tahoma"/>
          </rPr>
          <t xml:space="preserve">
</t>
        </r>
      </text>
    </comment>
    <comment ref="C26" authorId="0">
      <text>
        <r>
          <rPr>
            <b/>
            <sz val="8"/>
            <color indexed="81"/>
            <rFont val="Tahoma"/>
          </rPr>
          <t xml:space="preserve">
Achievable EU Category:
A for ocean cruising
B for offshore cruising
C for coastal cruising</t>
        </r>
        <r>
          <rPr>
            <sz val="8"/>
            <color indexed="81"/>
            <rFont val="Tahoma"/>
          </rPr>
          <t xml:space="preserve">
</t>
        </r>
      </text>
    </comment>
    <comment ref="G26" authorId="0">
      <text>
        <r>
          <rPr>
            <b/>
            <sz val="8"/>
            <color indexed="81"/>
            <rFont val="Tahoma"/>
          </rPr>
          <t xml:space="preserve">
Limiting righting moment 
for reefing wind speed calculation
(ISO 12217-2)</t>
        </r>
      </text>
    </comment>
    <comment ref="G27" authorId="0">
      <text>
        <r>
          <rPr>
            <b/>
            <sz val="8"/>
            <color indexed="81"/>
            <rFont val="Tahoma"/>
          </rPr>
          <t xml:space="preserve">
Estimated wind speed to take the first reef.
Adjust by rigging size ratio
(ISO 12217-2)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<sst xmlns="http://schemas.openxmlformats.org/spreadsheetml/2006/main" count="245" uniqueCount="192">
  <si>
    <t>m</t>
  </si>
  <si>
    <t>LDR</t>
  </si>
  <si>
    <r>
      <t>BM</t>
    </r>
    <r>
      <rPr>
        <vertAlign val="subscript"/>
        <sz val="10"/>
        <rFont val="Arial"/>
        <family val="2"/>
      </rPr>
      <t>trans</t>
    </r>
  </si>
  <si>
    <r>
      <t>BM</t>
    </r>
    <r>
      <rPr>
        <vertAlign val="subscript"/>
        <sz val="10"/>
        <rFont val="Arial"/>
        <family val="2"/>
      </rPr>
      <t>long</t>
    </r>
  </si>
  <si>
    <r>
      <t>L</t>
    </r>
    <r>
      <rPr>
        <vertAlign val="subscript"/>
        <sz val="10"/>
        <rFont val="Arial"/>
        <family val="2"/>
      </rPr>
      <t>WL</t>
    </r>
  </si>
  <si>
    <r>
      <t>B</t>
    </r>
    <r>
      <rPr>
        <vertAlign val="subscript"/>
        <sz val="10"/>
        <rFont val="Arial"/>
        <family val="2"/>
      </rPr>
      <t>CB</t>
    </r>
  </si>
  <si>
    <r>
      <t>C</t>
    </r>
    <r>
      <rPr>
        <vertAlign val="subscript"/>
        <sz val="10"/>
        <rFont val="Arial"/>
        <family val="2"/>
      </rPr>
      <t>w</t>
    </r>
  </si>
  <si>
    <r>
      <t>C</t>
    </r>
    <r>
      <rPr>
        <vertAlign val="subscript"/>
        <sz val="10"/>
        <rFont val="Arial"/>
        <family val="2"/>
      </rPr>
      <t>p</t>
    </r>
  </si>
  <si>
    <r>
      <t>B</t>
    </r>
    <r>
      <rPr>
        <vertAlign val="subscript"/>
        <sz val="10"/>
        <rFont val="Arial"/>
        <family val="2"/>
      </rPr>
      <t>WL</t>
    </r>
  </si>
  <si>
    <r>
      <t>T</t>
    </r>
    <r>
      <rPr>
        <vertAlign val="subscript"/>
        <sz val="10"/>
        <rFont val="Arial"/>
        <family val="2"/>
      </rPr>
      <t>c</t>
    </r>
  </si>
  <si>
    <t>kg</t>
  </si>
  <si>
    <r>
      <t>m</t>
    </r>
    <r>
      <rPr>
        <vertAlign val="subscript"/>
        <sz val="10"/>
        <rFont val="Arial"/>
        <family val="2"/>
      </rPr>
      <t>MOC</t>
    </r>
  </si>
  <si>
    <t>E</t>
  </si>
  <si>
    <t>P</t>
  </si>
  <si>
    <t>I</t>
  </si>
  <si>
    <t>J</t>
  </si>
  <si>
    <r>
      <t>F</t>
    </r>
    <r>
      <rPr>
        <vertAlign val="subscript"/>
        <sz val="10"/>
        <rFont val="Arial"/>
        <family val="2"/>
      </rPr>
      <t>BI</t>
    </r>
  </si>
  <si>
    <r>
      <t>B</t>
    </r>
    <r>
      <rPr>
        <vertAlign val="subscript"/>
        <sz val="10"/>
        <rFont val="Arial"/>
        <family val="2"/>
      </rPr>
      <t>AS</t>
    </r>
  </si>
  <si>
    <r>
      <t>A</t>
    </r>
    <r>
      <rPr>
        <vertAlign val="subscript"/>
        <sz val="10"/>
        <rFont val="Arial"/>
        <family val="2"/>
      </rPr>
      <t>MS</t>
    </r>
  </si>
  <si>
    <r>
      <t>A</t>
    </r>
    <r>
      <rPr>
        <vertAlign val="subscript"/>
        <sz val="10"/>
        <rFont val="Arial"/>
        <family val="2"/>
      </rPr>
      <t>FT</t>
    </r>
  </si>
  <si>
    <r>
      <t>A</t>
    </r>
    <r>
      <rPr>
        <vertAlign val="subscript"/>
        <sz val="10"/>
        <rFont val="Arial"/>
        <family val="2"/>
      </rPr>
      <t>S</t>
    </r>
  </si>
  <si>
    <r>
      <t>H</t>
    </r>
    <r>
      <rPr>
        <vertAlign val="subscript"/>
        <sz val="10"/>
        <rFont val="Arial"/>
        <family val="2"/>
      </rPr>
      <t>LP</t>
    </r>
  </si>
  <si>
    <r>
      <t>H</t>
    </r>
    <r>
      <rPr>
        <vertAlign val="subscript"/>
        <sz val="10"/>
        <rFont val="Arial"/>
        <family val="2"/>
      </rPr>
      <t>FT</t>
    </r>
  </si>
  <si>
    <r>
      <t>H</t>
    </r>
    <r>
      <rPr>
        <vertAlign val="subscript"/>
        <sz val="10"/>
        <rFont val="Arial"/>
        <family val="2"/>
      </rPr>
      <t>MS</t>
    </r>
  </si>
  <si>
    <r>
      <t>H</t>
    </r>
    <r>
      <rPr>
        <vertAlign val="subscript"/>
        <sz val="10"/>
        <rFont val="Arial"/>
        <family val="2"/>
      </rPr>
      <t>CE</t>
    </r>
  </si>
  <si>
    <t>Mainsail luff</t>
  </si>
  <si>
    <r>
      <t>m</t>
    </r>
    <r>
      <rPr>
        <vertAlign val="superscript"/>
        <sz val="10"/>
        <rFont val="Arial"/>
        <family val="2"/>
      </rPr>
      <t>2</t>
    </r>
  </si>
  <si>
    <t>Nm</t>
  </si>
  <si>
    <r>
      <t>V</t>
    </r>
    <r>
      <rPr>
        <vertAlign val="subscript"/>
        <sz val="10"/>
        <rFont val="Arial"/>
        <family val="2"/>
      </rPr>
      <t>W</t>
    </r>
  </si>
  <si>
    <t>knots</t>
  </si>
  <si>
    <r>
      <t>A</t>
    </r>
    <r>
      <rPr>
        <vertAlign val="subscript"/>
        <sz val="10"/>
        <rFont val="Arial"/>
        <family val="2"/>
      </rPr>
      <t>WP</t>
    </r>
  </si>
  <si>
    <r>
      <t>A</t>
    </r>
    <r>
      <rPr>
        <vertAlign val="subscript"/>
        <sz val="10"/>
        <rFont val="Arial"/>
        <family val="2"/>
      </rPr>
      <t>WS</t>
    </r>
  </si>
  <si>
    <t>SWR</t>
  </si>
  <si>
    <r>
      <t>V</t>
    </r>
    <r>
      <rPr>
        <vertAlign val="subscript"/>
        <sz val="10"/>
        <rFont val="Arial"/>
        <family val="2"/>
      </rPr>
      <t>AWK</t>
    </r>
  </si>
  <si>
    <t>m/s</t>
  </si>
  <si>
    <r>
      <t>m</t>
    </r>
    <r>
      <rPr>
        <vertAlign val="subscript"/>
        <sz val="10"/>
        <rFont val="Arial"/>
        <family val="2"/>
      </rPr>
      <t>LCC</t>
    </r>
  </si>
  <si>
    <r>
      <t>B</t>
    </r>
    <r>
      <rPr>
        <vertAlign val="subscript"/>
        <sz val="10"/>
        <rFont val="Arial"/>
        <family val="2"/>
      </rPr>
      <t>1H</t>
    </r>
  </si>
  <si>
    <r>
      <t>B</t>
    </r>
    <r>
      <rPr>
        <vertAlign val="subscript"/>
        <sz val="10"/>
        <rFont val="Arial"/>
        <family val="2"/>
      </rPr>
      <t>H</t>
    </r>
  </si>
  <si>
    <t>SDR</t>
  </si>
  <si>
    <r>
      <t>Z</t>
    </r>
    <r>
      <rPr>
        <vertAlign val="subscript"/>
        <sz val="10"/>
        <rFont val="Arial"/>
        <family val="2"/>
      </rPr>
      <t>WD</t>
    </r>
  </si>
  <si>
    <r>
      <t>A</t>
    </r>
    <r>
      <rPr>
        <vertAlign val="subscript"/>
        <sz val="10"/>
        <rFont val="Arial"/>
        <family val="2"/>
      </rPr>
      <t>r</t>
    </r>
  </si>
  <si>
    <r>
      <t>C</t>
    </r>
    <r>
      <rPr>
        <vertAlign val="subscript"/>
        <sz val="10"/>
        <rFont val="Arial"/>
        <family val="2"/>
      </rPr>
      <t>r</t>
    </r>
  </si>
  <si>
    <r>
      <t>T</t>
    </r>
    <r>
      <rPr>
        <vertAlign val="subscript"/>
        <sz val="10"/>
        <rFont val="Arial"/>
        <family val="2"/>
      </rPr>
      <t>r</t>
    </r>
  </si>
  <si>
    <r>
      <t>A</t>
    </r>
    <r>
      <rPr>
        <vertAlign val="subscript"/>
        <sz val="10"/>
        <rFont val="Arial"/>
        <family val="2"/>
      </rPr>
      <t>d</t>
    </r>
  </si>
  <si>
    <r>
      <t>C</t>
    </r>
    <r>
      <rPr>
        <vertAlign val="subscript"/>
        <sz val="10"/>
        <rFont val="Arial"/>
        <family val="2"/>
      </rPr>
      <t>d</t>
    </r>
  </si>
  <si>
    <r>
      <t>T</t>
    </r>
    <r>
      <rPr>
        <vertAlign val="subscript"/>
        <sz val="10"/>
        <rFont val="Arial"/>
        <family val="2"/>
      </rPr>
      <t>d</t>
    </r>
  </si>
  <si>
    <t>kW</t>
  </si>
  <si>
    <t>€</t>
  </si>
  <si>
    <t>h</t>
  </si>
  <si>
    <t>BN</t>
  </si>
  <si>
    <t>Catamaran name:</t>
  </si>
  <si>
    <t>Hulls</t>
  </si>
  <si>
    <t>Length of hull</t>
  </si>
  <si>
    <t>Length waterline</t>
  </si>
  <si>
    <t>Length/Beam ratio of CL</t>
  </si>
  <si>
    <t>Length/Beam ratio of hull</t>
  </si>
  <si>
    <t>Beam/draft ratio of hull</t>
  </si>
  <si>
    <t>Waterplane coefficient</t>
  </si>
  <si>
    <t>Prismatic coefficient</t>
  </si>
  <si>
    <t>Beam of one hull</t>
  </si>
  <si>
    <t>Draft canoe body</t>
  </si>
  <si>
    <t>Wet deck clearance (min)</t>
  </si>
  <si>
    <t>Waterplane area</t>
  </si>
  <si>
    <t>Wetted surface of hulls</t>
  </si>
  <si>
    <t>Transversal stability</t>
  </si>
  <si>
    <t>Longitudinal stability</t>
  </si>
  <si>
    <t>Length/displacement ratio</t>
  </si>
  <si>
    <t>Empty boat mass</t>
  </si>
  <si>
    <t>Rigging</t>
  </si>
  <si>
    <t>Foretriangle ratio</t>
  </si>
  <si>
    <t xml:space="preserve">Mainsail base </t>
  </si>
  <si>
    <t>Foretriangle height</t>
  </si>
  <si>
    <t>Foretriangle base</t>
  </si>
  <si>
    <t>Mainsail area</t>
  </si>
  <si>
    <t>Gennaker area</t>
  </si>
  <si>
    <t>Height of lateral area</t>
  </si>
  <si>
    <t>Height of  foretriangle</t>
  </si>
  <si>
    <t>Height of mainsail</t>
  </si>
  <si>
    <t>Height of centre of effort</t>
  </si>
  <si>
    <t>Design wind speed</t>
  </si>
  <si>
    <t>Reefing wind speed</t>
  </si>
  <si>
    <t xml:space="preserve">Rudder area </t>
  </si>
  <si>
    <t>Rudder chord</t>
  </si>
  <si>
    <t>Rudder draft</t>
  </si>
  <si>
    <t>Engines</t>
  </si>
  <si>
    <t>Motoring speed</t>
  </si>
  <si>
    <t>Work (one off)</t>
  </si>
  <si>
    <t>Performance</t>
  </si>
  <si>
    <t>Sail area/Wetted area</t>
  </si>
  <si>
    <t>Sail area/Displacement</t>
  </si>
  <si>
    <t>Bruce number</t>
  </si>
  <si>
    <t>Freeboard at mast foot</t>
  </si>
  <si>
    <t>Foresail area</t>
  </si>
  <si>
    <t>Nominal sail area</t>
  </si>
  <si>
    <r>
      <t>A</t>
    </r>
    <r>
      <rPr>
        <vertAlign val="subscript"/>
        <sz val="10"/>
        <rFont val="Arial"/>
        <family val="2"/>
      </rPr>
      <t>N</t>
    </r>
  </si>
  <si>
    <t>PARAMETRIC STUDY OF SAILING CATAMARAN</t>
  </si>
  <si>
    <r>
      <t>L</t>
    </r>
    <r>
      <rPr>
        <vertAlign val="subscript"/>
        <sz val="10"/>
        <rFont val="Arial"/>
        <family val="2"/>
      </rPr>
      <t>H</t>
    </r>
  </si>
  <si>
    <t>Midsection coefficient</t>
  </si>
  <si>
    <r>
      <t>C</t>
    </r>
    <r>
      <rPr>
        <vertAlign val="subscript"/>
        <sz val="10"/>
        <rFont val="Arial"/>
        <family val="2"/>
      </rPr>
      <t>m</t>
    </r>
  </si>
  <si>
    <t>Beam between hull centers</t>
  </si>
  <si>
    <t>Beam waterline of one hull</t>
  </si>
  <si>
    <t>Beam of catamaran</t>
  </si>
  <si>
    <r>
      <t>L</t>
    </r>
    <r>
      <rPr>
        <vertAlign val="subscript"/>
        <sz val="10"/>
        <rFont val="Arial"/>
        <family val="2"/>
      </rPr>
      <t>F</t>
    </r>
  </si>
  <si>
    <t>Main base above mast foot</t>
  </si>
  <si>
    <t>Air draft</t>
  </si>
  <si>
    <r>
      <t>H</t>
    </r>
    <r>
      <rPr>
        <vertAlign val="subscript"/>
        <sz val="10"/>
        <rFont val="Arial"/>
        <family val="2"/>
      </rPr>
      <t>a</t>
    </r>
  </si>
  <si>
    <r>
      <t xml:space="preserve">Appendages </t>
    </r>
    <r>
      <rPr>
        <sz val="10"/>
        <rFont val="Arial"/>
        <family val="2"/>
      </rPr>
      <t>(elliptic side profile)</t>
    </r>
  </si>
  <si>
    <r>
      <t>M</t>
    </r>
    <r>
      <rPr>
        <vertAlign val="subscript"/>
        <sz val="10"/>
        <rFont val="Arial"/>
        <family val="2"/>
      </rPr>
      <t>RD</t>
    </r>
  </si>
  <si>
    <t>Upwind sail area</t>
  </si>
  <si>
    <r>
      <t>F</t>
    </r>
    <r>
      <rPr>
        <vertAlign val="subscript"/>
        <sz val="10"/>
        <rFont val="Arial"/>
        <family val="2"/>
      </rPr>
      <t>GZmax</t>
    </r>
  </si>
  <si>
    <r>
      <t>LM</t>
    </r>
    <r>
      <rPr>
        <vertAlign val="subscript"/>
        <sz val="10"/>
        <rFont val="Arial"/>
        <family val="2"/>
      </rPr>
      <t>R</t>
    </r>
  </si>
  <si>
    <r>
      <t>LM</t>
    </r>
    <r>
      <rPr>
        <vertAlign val="subscript"/>
        <sz val="10"/>
        <rFont val="Arial"/>
        <family val="2"/>
      </rPr>
      <t>P</t>
    </r>
  </si>
  <si>
    <t>Limiting righting moment</t>
  </si>
  <si>
    <t>EU Design Category</t>
  </si>
  <si>
    <t>EU Size factor</t>
  </si>
  <si>
    <r>
      <t>L</t>
    </r>
    <r>
      <rPr>
        <vertAlign val="subscript"/>
        <sz val="10"/>
        <rFont val="Arial"/>
        <family val="2"/>
      </rPr>
      <t>d</t>
    </r>
  </si>
  <si>
    <t>N</t>
  </si>
  <si>
    <t>Fore aspect ratio I/J</t>
  </si>
  <si>
    <t>For daggerboard calc:</t>
  </si>
  <si>
    <r>
      <t>H</t>
    </r>
    <r>
      <rPr>
        <vertAlign val="subscript"/>
        <sz val="10"/>
        <rFont val="Arial"/>
        <family val="2"/>
      </rPr>
      <t>CEd</t>
    </r>
  </si>
  <si>
    <r>
      <t>F</t>
    </r>
    <r>
      <rPr>
        <vertAlign val="subscript"/>
        <sz val="10"/>
        <rFont val="Arial"/>
        <family val="2"/>
      </rPr>
      <t>s</t>
    </r>
  </si>
  <si>
    <r>
      <t>V</t>
    </r>
    <r>
      <rPr>
        <vertAlign val="subscript"/>
        <sz val="10"/>
        <rFont val="Arial"/>
        <family val="2"/>
      </rPr>
      <t>uw</t>
    </r>
  </si>
  <si>
    <r>
      <t>C</t>
    </r>
    <r>
      <rPr>
        <vertAlign val="subscript"/>
        <sz val="10"/>
        <rFont val="Arial"/>
        <family val="2"/>
      </rPr>
      <t>L</t>
    </r>
  </si>
  <si>
    <t>Side force max</t>
  </si>
  <si>
    <t>Lift coefficient of hull</t>
  </si>
  <si>
    <r>
      <t>C</t>
    </r>
    <r>
      <rPr>
        <vertAlign val="subscript"/>
        <sz val="10"/>
        <rFont val="Arial"/>
        <family val="2"/>
      </rPr>
      <t>LH</t>
    </r>
  </si>
  <si>
    <t>Leeway angle</t>
  </si>
  <si>
    <r>
      <t>a</t>
    </r>
    <r>
      <rPr>
        <vertAlign val="subscript"/>
        <sz val="10"/>
        <rFont val="Arial"/>
        <family val="2"/>
      </rPr>
      <t>L</t>
    </r>
  </si>
  <si>
    <r>
      <t>A</t>
    </r>
    <r>
      <rPr>
        <vertAlign val="subscript"/>
        <sz val="10"/>
        <rFont val="Arial"/>
        <family val="2"/>
      </rPr>
      <t>LP</t>
    </r>
  </si>
  <si>
    <t>Prismatic lateral plane</t>
  </si>
  <si>
    <r>
      <t>C</t>
    </r>
    <r>
      <rPr>
        <vertAlign val="subscript"/>
        <sz val="10"/>
        <rFont val="Arial"/>
        <family val="2"/>
      </rPr>
      <t>LP</t>
    </r>
  </si>
  <si>
    <t>Lateral Area of hull</t>
  </si>
  <si>
    <r>
      <t>F</t>
    </r>
    <r>
      <rPr>
        <vertAlign val="subscript"/>
        <sz val="10"/>
        <rFont val="Arial"/>
        <family val="2"/>
      </rPr>
      <t>H</t>
    </r>
  </si>
  <si>
    <t>o</t>
  </si>
  <si>
    <t>Side Force of hulls</t>
  </si>
  <si>
    <t>Lift coefficient of board</t>
  </si>
  <si>
    <t>Board aspect ratio</t>
  </si>
  <si>
    <t>Board area</t>
  </si>
  <si>
    <t>Board chord</t>
  </si>
  <si>
    <t>Board draft</t>
  </si>
  <si>
    <t>Side force of one board</t>
  </si>
  <si>
    <r>
      <t>F</t>
    </r>
    <r>
      <rPr>
        <vertAlign val="subscript"/>
        <sz val="10"/>
        <rFont val="Arial"/>
        <family val="2"/>
      </rPr>
      <t>SB</t>
    </r>
  </si>
  <si>
    <t>Needed lateral area</t>
  </si>
  <si>
    <t>"Texel" upwind</t>
  </si>
  <si>
    <t>"Texel" reaching</t>
  </si>
  <si>
    <t>TRr</t>
  </si>
  <si>
    <r>
      <t>A</t>
    </r>
    <r>
      <rPr>
        <vertAlign val="subscript"/>
        <sz val="10"/>
        <rFont val="Arial"/>
        <family val="2"/>
      </rPr>
      <t>G</t>
    </r>
  </si>
  <si>
    <t>TRu</t>
  </si>
  <si>
    <r>
      <t>V</t>
    </r>
    <r>
      <rPr>
        <vertAlign val="subscript"/>
        <sz val="10"/>
        <rFont val="Arial"/>
        <family val="2"/>
      </rPr>
      <t>T</t>
    </r>
  </si>
  <si>
    <t xml:space="preserve">     with genoa</t>
  </si>
  <si>
    <t xml:space="preserve">     with gennaker</t>
  </si>
  <si>
    <r>
      <t>Rigging size ratio P/L</t>
    </r>
    <r>
      <rPr>
        <vertAlign val="subscript"/>
        <sz val="10"/>
        <rFont val="Arial"/>
        <family val="2"/>
      </rPr>
      <t>WL</t>
    </r>
  </si>
  <si>
    <r>
      <t>Mainsail base E/L</t>
    </r>
    <r>
      <rPr>
        <vertAlign val="subscript"/>
        <sz val="10"/>
        <rFont val="Arial"/>
        <family val="2"/>
      </rPr>
      <t>WL</t>
    </r>
  </si>
  <si>
    <r>
      <t>Foretriangle base J/L</t>
    </r>
    <r>
      <rPr>
        <vertAlign val="subscript"/>
        <sz val="10"/>
        <rFont val="Arial"/>
        <family val="2"/>
      </rPr>
      <t>WL</t>
    </r>
  </si>
  <si>
    <t>at wind speed</t>
  </si>
  <si>
    <r>
      <t>A</t>
    </r>
    <r>
      <rPr>
        <vertAlign val="subscript"/>
        <sz val="10"/>
        <rFont val="Arial"/>
        <family val="2"/>
      </rPr>
      <t>LB</t>
    </r>
  </si>
  <si>
    <t>Max heel angle</t>
  </si>
  <si>
    <t>rad</t>
  </si>
  <si>
    <t>Limiting righting transverse</t>
  </si>
  <si>
    <t>Limiting righting longitudinal</t>
  </si>
  <si>
    <t>Size factor wide</t>
  </si>
  <si>
    <t>Size factor narrow</t>
  </si>
  <si>
    <t xml:space="preserve">Boatspeed </t>
  </si>
  <si>
    <r>
      <t>V</t>
    </r>
    <r>
      <rPr>
        <vertAlign val="subscript"/>
        <sz val="10"/>
        <rFont val="Arial"/>
        <family val="2"/>
      </rPr>
      <t>m</t>
    </r>
  </si>
  <si>
    <t>l</t>
  </si>
  <si>
    <t>Materials cost</t>
  </si>
  <si>
    <t>LBR</t>
  </si>
  <si>
    <t>BTR</t>
  </si>
  <si>
    <t>LBRC</t>
  </si>
  <si>
    <r>
      <t>m</t>
    </r>
    <r>
      <rPr>
        <vertAlign val="subscript"/>
        <sz val="10"/>
        <rFont val="Arial"/>
        <family val="2"/>
      </rPr>
      <t>LDC</t>
    </r>
  </si>
  <si>
    <t>Light loeaded displacement</t>
  </si>
  <si>
    <t>Fully loaded displacement</t>
  </si>
  <si>
    <t>Average speed potential</t>
  </si>
  <si>
    <r>
      <t>k</t>
    </r>
    <r>
      <rPr>
        <vertAlign val="subscript"/>
        <sz val="10"/>
        <rFont val="Arial"/>
        <family val="2"/>
      </rPr>
      <t>P</t>
    </r>
  </si>
  <si>
    <r>
      <t>k</t>
    </r>
    <r>
      <rPr>
        <vertAlign val="subscript"/>
        <sz val="10"/>
        <rFont val="Arial"/>
        <family val="2"/>
      </rPr>
      <t>E</t>
    </r>
  </si>
  <si>
    <r>
      <t>k</t>
    </r>
    <r>
      <rPr>
        <vertAlign val="subscript"/>
        <sz val="10"/>
        <rFont val="Arial"/>
        <family val="2"/>
      </rPr>
      <t>J</t>
    </r>
  </si>
  <si>
    <r>
      <t>k</t>
    </r>
    <r>
      <rPr>
        <vertAlign val="subscript"/>
        <sz val="10"/>
        <rFont val="Arial"/>
        <family val="2"/>
      </rPr>
      <t>F</t>
    </r>
  </si>
  <si>
    <t>Nmiles</t>
  </si>
  <si>
    <t>Dist</t>
  </si>
  <si>
    <t>EP</t>
  </si>
  <si>
    <t>Fuel tank diesel</t>
  </si>
  <si>
    <t>Fuel tank petrol</t>
  </si>
  <si>
    <t>Motoring</t>
  </si>
  <si>
    <t>Cost</t>
  </si>
  <si>
    <t>Motoring range</t>
  </si>
  <si>
    <r>
      <t>RM</t>
    </r>
    <r>
      <rPr>
        <vertAlign val="subscript"/>
        <sz val="10"/>
        <rFont val="Arial"/>
        <family val="2"/>
      </rPr>
      <t>DCAT</t>
    </r>
  </si>
  <si>
    <r>
      <t>M</t>
    </r>
    <r>
      <rPr>
        <vertAlign val="subscript"/>
        <sz val="10"/>
        <rFont val="Arial"/>
        <family val="2"/>
      </rPr>
      <t>HD2</t>
    </r>
  </si>
  <si>
    <r>
      <t>M</t>
    </r>
    <r>
      <rPr>
        <vertAlign val="subscript"/>
        <sz val="10"/>
        <rFont val="Arial"/>
        <family val="2"/>
      </rPr>
      <t>HD</t>
    </r>
  </si>
  <si>
    <t>Design RM for rig design</t>
  </si>
  <si>
    <t>Heeling moment of sails</t>
  </si>
  <si>
    <t>Righting moment of cat</t>
  </si>
  <si>
    <t>Cat 7.8x4.6 cruiser, hard chine, epoxy ply.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</si>
</sst>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5">
    <font>
      <sz val="10"/>
      <name val="Arial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Tahoma"/>
      <family val="2"/>
    </font>
    <font>
      <b/>
      <vertAlign val="subscript"/>
      <sz val="8"/>
      <color indexed="81"/>
      <name val="Tahoma"/>
      <family val="2"/>
    </font>
    <font>
      <sz val="10"/>
      <color indexed="81"/>
      <name val="Symbol"/>
      <family val="1"/>
      <charset val="2"/>
    </font>
    <font>
      <b/>
      <sz val="12"/>
      <name val="Arial"/>
      <family val="2"/>
    </font>
    <font>
      <sz val="10"/>
      <name val="Symbol"/>
      <family val="1"/>
      <charset val="2"/>
    </font>
    <font>
      <b/>
      <sz val="8"/>
      <color indexed="8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2" fontId="0" fillId="2" borderId="1" xfId="0" applyNumberFormat="1" applyFill="1" applyBorder="1" applyAlignment="1" applyProtection="1">
      <alignment vertical="center"/>
      <protection locked="0"/>
    </xf>
    <xf numFmtId="2" fontId="5" fillId="2" borderId="1" xfId="0" applyNumberFormat="1" applyFont="1" applyFill="1" applyBorder="1" applyAlignment="1" applyProtection="1">
      <alignment vertical="center"/>
      <protection locked="0"/>
    </xf>
    <xf numFmtId="9" fontId="0" fillId="2" borderId="1" xfId="0" applyNumberForma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/>
    <xf numFmtId="0" fontId="2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0" fillId="2" borderId="1" xfId="0" applyNumberFormat="1" applyFill="1" applyBorder="1" applyAlignment="1" applyProtection="1">
      <alignment vertical="center"/>
      <protection locked="0"/>
    </xf>
    <xf numFmtId="165" fontId="0" fillId="0" borderId="0" xfId="0" applyNumberFormat="1"/>
    <xf numFmtId="0" fontId="0" fillId="2" borderId="1" xfId="0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</xf>
    <xf numFmtId="165" fontId="0" fillId="0" borderId="0" xfId="0" applyNumberFormat="1" applyFill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>
      <selection activeCell="K4" sqref="K4"/>
    </sheetView>
  </sheetViews>
  <sheetFormatPr defaultRowHeight="18" customHeight="1"/>
  <cols>
    <col min="1" max="1" width="23.85546875" style="1" bestFit="1" customWidth="1"/>
    <col min="2" max="2" width="6.85546875" style="2" bestFit="1" customWidth="1"/>
    <col min="3" max="3" width="9.140625" style="1" bestFit="1" customWidth="1"/>
    <col min="4" max="4" width="8.42578125" style="1" customWidth="1"/>
    <col min="5" max="5" width="23.5703125" style="1" bestFit="1" customWidth="1"/>
    <col min="6" max="6" width="7.42578125" style="2" bestFit="1" customWidth="1"/>
    <col min="7" max="7" width="9.140625" style="1" bestFit="1" customWidth="1"/>
    <col min="8" max="8" width="9.140625" style="1" customWidth="1"/>
    <col min="9" max="9" width="21.42578125" style="1" customWidth="1"/>
    <col min="10" max="10" width="6.42578125" style="2" customWidth="1"/>
    <col min="11" max="11" width="9.140625" style="1" bestFit="1" customWidth="1"/>
    <col min="12" max="12" width="7" style="1" bestFit="1" customWidth="1"/>
    <col min="13" max="13" width="10.42578125" customWidth="1"/>
    <col min="14" max="14" width="7.42578125" style="1" customWidth="1"/>
    <col min="15" max="15" width="21.5703125" style="10" hidden="1" customWidth="1"/>
    <col min="16" max="16" width="6.5703125" style="11" hidden="1" customWidth="1"/>
    <col min="17" max="18" width="9.140625" style="10" hidden="1" customWidth="1"/>
    <col min="19" max="19" width="9.140625" style="1" customWidth="1"/>
    <col min="20" max="20" width="21.7109375" style="1" bestFit="1" customWidth="1"/>
    <col min="21" max="21" width="22.28515625" style="1" bestFit="1" customWidth="1"/>
    <col min="22" max="16384" width="9.140625" style="1"/>
  </cols>
  <sheetData>
    <row r="1" spans="1:21" s="19" customFormat="1" ht="18" customHeight="1">
      <c r="A1" s="36" t="s">
        <v>95</v>
      </c>
      <c r="B1" s="36"/>
      <c r="C1" s="36"/>
      <c r="D1" s="36"/>
      <c r="E1" s="36"/>
      <c r="F1" s="18"/>
      <c r="G1" s="9" t="s">
        <v>50</v>
      </c>
      <c r="I1" s="37" t="s">
        <v>191</v>
      </c>
      <c r="J1" s="38"/>
      <c r="K1" s="38"/>
      <c r="L1" s="39"/>
      <c r="M1"/>
      <c r="O1" s="10"/>
      <c r="P1" s="11"/>
      <c r="Q1" s="10"/>
      <c r="R1" s="10"/>
    </row>
    <row r="2" spans="1:21" s="19" customFormat="1" ht="18" customHeight="1">
      <c r="F2" s="18"/>
      <c r="G2" s="9"/>
      <c r="I2" s="34"/>
      <c r="J2" s="34"/>
      <c r="K2" s="34"/>
      <c r="L2" s="34"/>
      <c r="M2"/>
      <c r="O2" s="10"/>
      <c r="P2" s="11"/>
      <c r="Q2" s="10"/>
      <c r="R2" s="10"/>
    </row>
    <row r="3" spans="1:21" s="9" customFormat="1" ht="18" customHeight="1">
      <c r="A3" s="9" t="s">
        <v>51</v>
      </c>
      <c r="B3" s="7"/>
      <c r="E3" s="9" t="s">
        <v>68</v>
      </c>
      <c r="F3" s="7"/>
      <c r="I3" s="9" t="s">
        <v>106</v>
      </c>
      <c r="J3" s="7"/>
      <c r="M3"/>
      <c r="O3" s="9" t="s">
        <v>118</v>
      </c>
      <c r="P3" s="17"/>
      <c r="Q3" s="10"/>
      <c r="R3" s="10"/>
      <c r="T3"/>
      <c r="U3"/>
    </row>
    <row r="4" spans="1:21" ht="18" customHeight="1">
      <c r="A4" s="1" t="s">
        <v>52</v>
      </c>
      <c r="B4" s="2" t="s">
        <v>96</v>
      </c>
      <c r="C4" s="14">
        <v>7.8</v>
      </c>
      <c r="D4" s="1" t="s">
        <v>0</v>
      </c>
      <c r="E4" s="1" t="s">
        <v>151</v>
      </c>
      <c r="F4" s="2" t="s">
        <v>173</v>
      </c>
      <c r="G4" s="16">
        <v>1.24</v>
      </c>
      <c r="I4" s="1" t="s">
        <v>136</v>
      </c>
      <c r="J4" s="21" t="s">
        <v>115</v>
      </c>
      <c r="K4" s="31">
        <v>4</v>
      </c>
      <c r="O4" s="1" t="s">
        <v>93</v>
      </c>
      <c r="P4" s="2" t="s">
        <v>94</v>
      </c>
      <c r="Q4" s="3">
        <f>0.7*(P*E)+(I*J)*0.5</f>
        <v>39.814000199999995</v>
      </c>
      <c r="R4" s="1" t="s">
        <v>26</v>
      </c>
      <c r="T4"/>
      <c r="U4"/>
    </row>
    <row r="5" spans="1:21" ht="18" customHeight="1">
      <c r="A5" s="1" t="s">
        <v>53</v>
      </c>
      <c r="B5" s="2" t="s">
        <v>4</v>
      </c>
      <c r="C5" s="14">
        <v>7.8</v>
      </c>
      <c r="D5" s="1" t="s">
        <v>0</v>
      </c>
      <c r="E5" s="1" t="s">
        <v>152</v>
      </c>
      <c r="F5" s="2" t="s">
        <v>174</v>
      </c>
      <c r="G5" s="16">
        <v>0.5</v>
      </c>
      <c r="I5" s="1" t="s">
        <v>137</v>
      </c>
      <c r="J5" s="2" t="s">
        <v>43</v>
      </c>
      <c r="K5" s="5">
        <f>0.75*ALB</f>
        <v>0.57438809285178805</v>
      </c>
      <c r="L5" s="1" t="s">
        <v>26</v>
      </c>
      <c r="N5" s="32"/>
      <c r="O5" s="1" t="s">
        <v>78</v>
      </c>
      <c r="P5" s="2" t="s">
        <v>119</v>
      </c>
      <c r="Q5" s="26">
        <f>(AMS*HMS+0.5*I*J*HFT)/AN</f>
        <v>5.817744400485938</v>
      </c>
      <c r="R5" s="10" t="s">
        <v>0</v>
      </c>
      <c r="T5"/>
      <c r="U5"/>
    </row>
    <row r="6" spans="1:21" ht="18" customHeight="1">
      <c r="A6" s="1" t="s">
        <v>55</v>
      </c>
      <c r="B6" s="2" t="s">
        <v>166</v>
      </c>
      <c r="C6" s="14">
        <v>8.3800000000000008</v>
      </c>
      <c r="E6" s="1" t="s">
        <v>153</v>
      </c>
      <c r="F6" s="2" t="s">
        <v>175</v>
      </c>
      <c r="G6" s="16">
        <v>0.39</v>
      </c>
      <c r="I6" s="1" t="s">
        <v>138</v>
      </c>
      <c r="J6" s="2" t="s">
        <v>44</v>
      </c>
      <c r="K6" s="5">
        <f>Ad/Td</f>
        <v>0.37894197868928037</v>
      </c>
      <c r="L6" s="1" t="s">
        <v>0</v>
      </c>
      <c r="N6" s="32"/>
      <c r="O6" s="1" t="s">
        <v>123</v>
      </c>
      <c r="P6" s="2" t="s">
        <v>120</v>
      </c>
      <c r="Q6" s="6">
        <f>MR/(HCEd+HLP)</f>
        <v>4517.5837444888157</v>
      </c>
      <c r="R6" s="1" t="s">
        <v>116</v>
      </c>
      <c r="T6"/>
      <c r="U6"/>
    </row>
    <row r="7" spans="1:21" ht="18" customHeight="1">
      <c r="A7" s="1" t="s">
        <v>56</v>
      </c>
      <c r="B7" s="2" t="s">
        <v>167</v>
      </c>
      <c r="C7" s="14">
        <v>2.58</v>
      </c>
      <c r="E7" s="1" t="s">
        <v>69</v>
      </c>
      <c r="F7" s="2" t="s">
        <v>176</v>
      </c>
      <c r="G7" s="16">
        <v>1.2</v>
      </c>
      <c r="I7" s="1" t="s">
        <v>139</v>
      </c>
      <c r="J7" s="2" t="s">
        <v>45</v>
      </c>
      <c r="K7" s="5">
        <f>(Ld*Ad)^0.5</f>
        <v>1.5157679147571215</v>
      </c>
      <c r="L7" s="1" t="s">
        <v>0</v>
      </c>
      <c r="N7" s="32"/>
      <c r="O7" s="1" t="s">
        <v>162</v>
      </c>
      <c r="P7" s="2" t="s">
        <v>121</v>
      </c>
      <c r="Q7" s="5">
        <f>1.64*VW^0.66*LWL^0.3*AN^0.4/D^0.3*1852/3600</f>
        <v>3.9783226520647528</v>
      </c>
      <c r="R7" s="1" t="s">
        <v>34</v>
      </c>
      <c r="T7"/>
      <c r="U7"/>
    </row>
    <row r="8" spans="1:21" ht="18" customHeight="1">
      <c r="A8" s="1" t="s">
        <v>97</v>
      </c>
      <c r="B8" s="2" t="s">
        <v>98</v>
      </c>
      <c r="C8" s="14">
        <v>0.82</v>
      </c>
      <c r="E8" s="1" t="s">
        <v>91</v>
      </c>
      <c r="F8" s="2" t="s">
        <v>16</v>
      </c>
      <c r="G8" s="14">
        <v>1.6</v>
      </c>
      <c r="H8" s="1" t="s">
        <v>0</v>
      </c>
      <c r="I8" s="1" t="s">
        <v>81</v>
      </c>
      <c r="J8" s="2" t="s">
        <v>40</v>
      </c>
      <c r="K8" s="5">
        <f>0.25*ALB</f>
        <v>0.19146269761726267</v>
      </c>
      <c r="L8" s="1" t="s">
        <v>26</v>
      </c>
      <c r="N8" s="32"/>
      <c r="O8" s="10" t="s">
        <v>126</v>
      </c>
      <c r="P8" s="21" t="s">
        <v>127</v>
      </c>
      <c r="Q8" s="10">
        <v>5</v>
      </c>
      <c r="R8" s="29" t="s">
        <v>133</v>
      </c>
      <c r="T8"/>
      <c r="U8"/>
    </row>
    <row r="9" spans="1:21" ht="18" customHeight="1">
      <c r="A9" s="1" t="s">
        <v>58</v>
      </c>
      <c r="B9" s="2" t="s">
        <v>7</v>
      </c>
      <c r="C9" s="15">
        <v>0.65800000000000003</v>
      </c>
      <c r="E9" s="1" t="s">
        <v>103</v>
      </c>
      <c r="F9" s="2" t="s">
        <v>17</v>
      </c>
      <c r="G9" s="14">
        <v>0.7</v>
      </c>
      <c r="H9" s="1" t="s">
        <v>0</v>
      </c>
      <c r="I9" s="1" t="s">
        <v>82</v>
      </c>
      <c r="J9" s="2" t="s">
        <v>41</v>
      </c>
      <c r="K9" s="5">
        <f>Ar/Tr</f>
        <v>0.21878225340350546</v>
      </c>
      <c r="L9" s="1" t="s">
        <v>0</v>
      </c>
      <c r="N9" s="2"/>
      <c r="O9" s="10" t="s">
        <v>124</v>
      </c>
      <c r="P9" s="11" t="s">
        <v>125</v>
      </c>
      <c r="Q9" s="25">
        <f>0.1*aL/(1+2/(Tc/LWL))</f>
        <v>1.1301784777852117E-2</v>
      </c>
      <c r="T9"/>
      <c r="U9"/>
    </row>
    <row r="10" spans="1:21" ht="18" customHeight="1">
      <c r="A10" s="1" t="s">
        <v>57</v>
      </c>
      <c r="B10" s="2" t="s">
        <v>6</v>
      </c>
      <c r="C10" s="14">
        <v>0.74</v>
      </c>
      <c r="E10" s="1" t="s">
        <v>25</v>
      </c>
      <c r="F10" s="2" t="s">
        <v>13</v>
      </c>
      <c r="G10" s="4">
        <f>kP*LWL</f>
        <v>9.6720000000000006</v>
      </c>
      <c r="H10" s="1" t="s">
        <v>0</v>
      </c>
      <c r="I10" s="1" t="s">
        <v>83</v>
      </c>
      <c r="J10" s="2" t="s">
        <v>42</v>
      </c>
      <c r="K10" s="5">
        <f>(Ld*Ar)^0.5</f>
        <v>0.87512901361402173</v>
      </c>
      <c r="L10" s="1" t="s">
        <v>0</v>
      </c>
      <c r="N10" s="20"/>
      <c r="O10" s="10" t="s">
        <v>129</v>
      </c>
      <c r="P10" s="11" t="s">
        <v>130</v>
      </c>
      <c r="Q10" s="26">
        <f>Cp*Cm/Cw</f>
        <v>0.72913513513513517</v>
      </c>
      <c r="T10"/>
      <c r="U10"/>
    </row>
    <row r="11" spans="1:21" ht="18" customHeight="1">
      <c r="A11" s="1" t="s">
        <v>54</v>
      </c>
      <c r="B11" s="11" t="s">
        <v>168</v>
      </c>
      <c r="C11" s="15">
        <v>2.36</v>
      </c>
      <c r="E11" s="1" t="s">
        <v>70</v>
      </c>
      <c r="F11" s="2" t="s">
        <v>12</v>
      </c>
      <c r="G11" s="4">
        <f>kE*LWL</f>
        <v>3.9</v>
      </c>
      <c r="H11" s="1" t="s">
        <v>0</v>
      </c>
      <c r="I11" s="9" t="s">
        <v>182</v>
      </c>
      <c r="K11" s="13"/>
      <c r="O11" s="10" t="s">
        <v>131</v>
      </c>
      <c r="P11" s="11" t="s">
        <v>128</v>
      </c>
      <c r="Q11" s="26">
        <f>CLP*Tc*LWL</f>
        <v>2.0517928262946854</v>
      </c>
      <c r="R11" s="10" t="s">
        <v>26</v>
      </c>
      <c r="T11"/>
      <c r="U11"/>
    </row>
    <row r="12" spans="1:21" ht="18" customHeight="1">
      <c r="A12" s="1" t="s">
        <v>59</v>
      </c>
      <c r="B12" s="2" t="s">
        <v>36</v>
      </c>
      <c r="C12" s="14">
        <v>1.3</v>
      </c>
      <c r="D12" s="1" t="s">
        <v>0</v>
      </c>
      <c r="E12" s="1" t="s">
        <v>71</v>
      </c>
      <c r="F12" s="2" t="s">
        <v>14</v>
      </c>
      <c r="G12" s="5">
        <f>0.85*(P+BAS)</f>
        <v>8.8162000000000003</v>
      </c>
      <c r="H12" s="1" t="s">
        <v>0</v>
      </c>
      <c r="I12" s="1" t="s">
        <v>84</v>
      </c>
      <c r="J12" s="2" t="s">
        <v>179</v>
      </c>
      <c r="K12" s="8">
        <f>4*D/1025</f>
        <v>11.305917129711618</v>
      </c>
      <c r="L12" s="1" t="s">
        <v>46</v>
      </c>
      <c r="O12" s="10" t="s">
        <v>134</v>
      </c>
      <c r="P12" s="11" t="s">
        <v>132</v>
      </c>
      <c r="Q12" s="27">
        <f>2*CLH*0.5*1025*Vuw^2*ALP</f>
        <v>376.18754301932819</v>
      </c>
      <c r="R12" s="10" t="s">
        <v>116</v>
      </c>
    </row>
    <row r="13" spans="1:21" ht="18" customHeight="1">
      <c r="A13" s="1" t="s">
        <v>100</v>
      </c>
      <c r="B13" s="2" t="s">
        <v>8</v>
      </c>
      <c r="C13" s="5">
        <f>LWL/C6</f>
        <v>0.93078758949880658</v>
      </c>
      <c r="D13" s="1" t="s">
        <v>0</v>
      </c>
      <c r="E13" s="1" t="s">
        <v>72</v>
      </c>
      <c r="F13" s="2" t="s">
        <v>15</v>
      </c>
      <c r="G13" s="5">
        <f>kJ*LWL</f>
        <v>3.0419999999999998</v>
      </c>
      <c r="H13" s="1" t="s">
        <v>0</v>
      </c>
      <c r="I13" s="1" t="s">
        <v>85</v>
      </c>
      <c r="J13" s="2" t="s">
        <v>163</v>
      </c>
      <c r="K13" s="3">
        <f>2.44*(LWL)^0.5</f>
        <v>6.8145491413592429</v>
      </c>
      <c r="L13" s="10" t="s">
        <v>29</v>
      </c>
      <c r="O13" s="10" t="s">
        <v>140</v>
      </c>
      <c r="P13" s="11" t="s">
        <v>141</v>
      </c>
      <c r="Q13" s="27">
        <f>(Fs-FH)/2</f>
        <v>2070.6981007347435</v>
      </c>
      <c r="R13" s="10" t="s">
        <v>116</v>
      </c>
    </row>
    <row r="14" spans="1:21" ht="18" customHeight="1">
      <c r="A14" s="1" t="s">
        <v>60</v>
      </c>
      <c r="B14" s="2" t="s">
        <v>9</v>
      </c>
      <c r="C14" s="5">
        <f>BWL/BWL_Tc</f>
        <v>0.36077038352666918</v>
      </c>
      <c r="D14" s="1" t="s">
        <v>0</v>
      </c>
      <c r="E14" s="1" t="s">
        <v>117</v>
      </c>
      <c r="F14" s="21" t="s">
        <v>102</v>
      </c>
      <c r="G14" s="5">
        <f>I/J</f>
        <v>2.898159105851414</v>
      </c>
      <c r="I14" s="1" t="s">
        <v>184</v>
      </c>
      <c r="J14" s="2" t="s">
        <v>178</v>
      </c>
      <c r="K14" s="33">
        <v>200</v>
      </c>
      <c r="L14" s="1" t="s">
        <v>177</v>
      </c>
      <c r="O14" s="10" t="s">
        <v>135</v>
      </c>
      <c r="P14" s="11" t="s">
        <v>122</v>
      </c>
      <c r="Q14" s="26">
        <f>0.1*aL/(1+2/Ld)</f>
        <v>0.33333333333333331</v>
      </c>
    </row>
    <row r="15" spans="1:21" ht="18" customHeight="1">
      <c r="A15" s="1" t="s">
        <v>171</v>
      </c>
      <c r="B15" s="11" t="s">
        <v>169</v>
      </c>
      <c r="C15" s="6">
        <f>2*BWL*LWL*Tc*Cp*Cm*1025</f>
        <v>2897.1412644886022</v>
      </c>
      <c r="D15" s="1" t="s">
        <v>10</v>
      </c>
      <c r="E15" s="1" t="s">
        <v>73</v>
      </c>
      <c r="F15" s="2" t="s">
        <v>18</v>
      </c>
      <c r="G15" s="3">
        <f>0.7*P*E</f>
        <v>26.40456</v>
      </c>
      <c r="H15" s="1" t="s">
        <v>26</v>
      </c>
      <c r="I15" s="1" t="s">
        <v>180</v>
      </c>
      <c r="K15" s="8">
        <f>1.2*Dist/Vm*EP/4</f>
        <v>99.545107638242229</v>
      </c>
      <c r="L15" s="1" t="s">
        <v>164</v>
      </c>
      <c r="O15" s="10" t="s">
        <v>142</v>
      </c>
      <c r="P15" s="11" t="s">
        <v>155</v>
      </c>
      <c r="Q15" s="26">
        <f>FSB/(CL*0.5*1025*Vuw^2)</f>
        <v>0.76585079046905069</v>
      </c>
      <c r="R15" s="10" t="s">
        <v>26</v>
      </c>
    </row>
    <row r="16" spans="1:21" ht="18" customHeight="1">
      <c r="A16" s="1" t="s">
        <v>66</v>
      </c>
      <c r="B16" s="2" t="s">
        <v>1</v>
      </c>
      <c r="C16" s="5">
        <f>LWL/(D/1025)^(1/3)</f>
        <v>5.5166995723525716</v>
      </c>
      <c r="E16" s="1" t="s">
        <v>92</v>
      </c>
      <c r="F16" s="2" t="s">
        <v>19</v>
      </c>
      <c r="G16" s="3">
        <f>0.5*I*J*kF</f>
        <v>16.091328239999999</v>
      </c>
      <c r="H16" s="1" t="s">
        <v>26</v>
      </c>
      <c r="I16" s="1" t="s">
        <v>181</v>
      </c>
      <c r="K16" s="8">
        <f>1.2*Dist/Vm*EP/3</f>
        <v>132.72681018432297</v>
      </c>
      <c r="L16" s="1" t="s">
        <v>164</v>
      </c>
      <c r="O16" s="1" t="s">
        <v>143</v>
      </c>
      <c r="P16" s="2" t="s">
        <v>147</v>
      </c>
      <c r="Q16" s="3">
        <f>100/(0.99*((LWL+LH)/2)^0.3*AS^0.4/mMOC^0.3)</f>
        <v>124.42726576090352</v>
      </c>
    </row>
    <row r="17" spans="1:17" ht="18" customHeight="1">
      <c r="A17" s="1" t="s">
        <v>67</v>
      </c>
      <c r="B17" s="2" t="s">
        <v>35</v>
      </c>
      <c r="C17" s="6">
        <f>0.7*D</f>
        <v>2027.9988851420214</v>
      </c>
      <c r="D17" s="1" t="s">
        <v>10</v>
      </c>
      <c r="E17" s="1" t="s">
        <v>108</v>
      </c>
      <c r="F17" s="2" t="s">
        <v>20</v>
      </c>
      <c r="G17" s="3">
        <f>AMS+AFT</f>
        <v>42.495888239999999</v>
      </c>
      <c r="H17" s="1" t="s">
        <v>26</v>
      </c>
      <c r="I17" s="9" t="s">
        <v>183</v>
      </c>
      <c r="K17" s="6"/>
      <c r="O17" s="1" t="s">
        <v>144</v>
      </c>
      <c r="P17" s="2" t="s">
        <v>145</v>
      </c>
      <c r="Q17" s="3">
        <f>100/(0.99*((LWL+LH)/2)^0.3*(AMS+AG)^0.4/mMOC^0.3)</f>
        <v>101.53023929801009</v>
      </c>
    </row>
    <row r="18" spans="1:17" ht="18" customHeight="1">
      <c r="A18" s="1" t="s">
        <v>170</v>
      </c>
      <c r="B18" s="2" t="s">
        <v>11</v>
      </c>
      <c r="C18" s="6">
        <f>0.8*D</f>
        <v>2317.7130115908817</v>
      </c>
      <c r="D18" s="1" t="s">
        <v>10</v>
      </c>
      <c r="E18" s="10" t="s">
        <v>74</v>
      </c>
      <c r="F18" s="2" t="s">
        <v>146</v>
      </c>
      <c r="G18" s="3">
        <f>1.65*I*J</f>
        <v>44.251152659999995</v>
      </c>
      <c r="H18" s="1" t="s">
        <v>26</v>
      </c>
      <c r="I18" s="1" t="s">
        <v>165</v>
      </c>
      <c r="K18" s="6">
        <f>ROUND(3*LDR*mLCC,-3)</f>
        <v>34000</v>
      </c>
      <c r="L18" s="1" t="s">
        <v>47</v>
      </c>
      <c r="O18" s="28"/>
      <c r="P18" s="24"/>
    </row>
    <row r="19" spans="1:17" ht="18" customHeight="1">
      <c r="A19" s="1" t="s">
        <v>99</v>
      </c>
      <c r="B19" s="2" t="s">
        <v>5</v>
      </c>
      <c r="C19" s="4">
        <f>LH/L_B</f>
        <v>3.3050847457627119</v>
      </c>
      <c r="D19" s="1" t="s">
        <v>0</v>
      </c>
      <c r="E19" s="1" t="s">
        <v>104</v>
      </c>
      <c r="F19" s="2" t="s">
        <v>105</v>
      </c>
      <c r="G19" s="5">
        <f>P+BAS+FBI</f>
        <v>11.972</v>
      </c>
      <c r="H19" s="1" t="s">
        <v>0</v>
      </c>
      <c r="I19" s="1" t="s">
        <v>86</v>
      </c>
      <c r="K19" s="6">
        <f>ROUND(LDR/6*mLCC,-2)</f>
        <v>1900</v>
      </c>
      <c r="L19" s="1" t="s">
        <v>48</v>
      </c>
      <c r="O19" s="28"/>
      <c r="P19" s="24"/>
    </row>
    <row r="20" spans="1:17" ht="18" customHeight="1">
      <c r="A20" s="1" t="s">
        <v>64</v>
      </c>
      <c r="B20" s="2" t="s">
        <v>2</v>
      </c>
      <c r="C20" s="3">
        <f>2*(BWL^3*LWL*Cw^2/12+LWL*BWL*Cw*(0.5*BCB)^2)/D*1025</f>
        <v>10.584749414938187</v>
      </c>
      <c r="D20" s="1" t="s">
        <v>0</v>
      </c>
      <c r="E20" s="1" t="s">
        <v>75</v>
      </c>
      <c r="F20" s="2" t="s">
        <v>21</v>
      </c>
      <c r="G20" s="5">
        <f>0.04*(D)^(1/3)</f>
        <v>0.57022976366261258</v>
      </c>
      <c r="H20" s="1" t="s">
        <v>0</v>
      </c>
      <c r="I20" s="9" t="s">
        <v>87</v>
      </c>
      <c r="O20" s="28"/>
      <c r="P20" s="24"/>
    </row>
    <row r="21" spans="1:17" ht="18" customHeight="1">
      <c r="A21" s="1" t="s">
        <v>65</v>
      </c>
      <c r="B21" s="2" t="s">
        <v>3</v>
      </c>
      <c r="C21" s="3">
        <f>0.92*2*LWL^3*BWL*Cw^2/12/D*1025</f>
        <v>13.121654611016387</v>
      </c>
      <c r="D21" s="1" t="s">
        <v>0</v>
      </c>
      <c r="E21" s="1" t="s">
        <v>76</v>
      </c>
      <c r="F21" s="2" t="s">
        <v>22</v>
      </c>
      <c r="G21" s="5">
        <f>FBI+0.4*I</f>
        <v>5.1264800000000008</v>
      </c>
      <c r="H21" s="1" t="s">
        <v>0</v>
      </c>
      <c r="I21" s="1" t="s">
        <v>88</v>
      </c>
      <c r="J21" s="2" t="s">
        <v>32</v>
      </c>
      <c r="K21" s="5">
        <f>AS/(AWS+4*ALB)</f>
        <v>2.2933530063512002</v>
      </c>
      <c r="O21" s="28"/>
      <c r="P21" s="24"/>
    </row>
    <row r="22" spans="1:17" ht="18" customHeight="1">
      <c r="A22" s="10" t="s">
        <v>101</v>
      </c>
      <c r="B22" s="2" t="s">
        <v>37</v>
      </c>
      <c r="C22" s="5">
        <f>B1H+BCB</f>
        <v>4.6050847457627118</v>
      </c>
      <c r="D22" s="1" t="s">
        <v>0</v>
      </c>
      <c r="E22" s="1" t="s">
        <v>77</v>
      </c>
      <c r="F22" s="2" t="s">
        <v>23</v>
      </c>
      <c r="G22" s="5">
        <f>FBI+BAS+0.4*P</f>
        <v>6.1688000000000001</v>
      </c>
      <c r="H22" s="1" t="s">
        <v>0</v>
      </c>
      <c r="I22" s="1" t="s">
        <v>89</v>
      </c>
      <c r="J22" s="2" t="s">
        <v>38</v>
      </c>
      <c r="K22" s="3">
        <f>AS/(D/1025)^(2/3)</f>
        <v>21.25770488322074</v>
      </c>
      <c r="O22" s="28"/>
      <c r="P22" s="24"/>
    </row>
    <row r="23" spans="1:17" ht="18" customHeight="1">
      <c r="A23" s="1" t="s">
        <v>61</v>
      </c>
      <c r="B23" s="2" t="s">
        <v>39</v>
      </c>
      <c r="C23" s="5">
        <f>0.06*LWL</f>
        <v>0.46799999999999997</v>
      </c>
      <c r="D23" s="1" t="s">
        <v>0</v>
      </c>
      <c r="E23" s="1" t="s">
        <v>78</v>
      </c>
      <c r="F23" s="2" t="s">
        <v>24</v>
      </c>
      <c r="G23" s="5">
        <f>(AMS*HMS+AFT*HFT)/AS</f>
        <v>5.7741191509636556</v>
      </c>
      <c r="H23" s="1" t="s">
        <v>0</v>
      </c>
      <c r="I23" s="1" t="s">
        <v>90</v>
      </c>
      <c r="J23" s="2" t="s">
        <v>49</v>
      </c>
      <c r="K23" s="5">
        <f>(AS)^0.5/0.3048/(mMOC*9/4)^(1/3)</f>
        <v>1.2333256598357676</v>
      </c>
      <c r="O23" s="28"/>
      <c r="P23" s="24"/>
    </row>
    <row r="24" spans="1:17" ht="18" customHeight="1">
      <c r="A24" s="1" t="s">
        <v>62</v>
      </c>
      <c r="B24" s="2" t="s">
        <v>30</v>
      </c>
      <c r="C24" s="5">
        <f>2*Cw*LWL*BWL</f>
        <v>10.745011933174224</v>
      </c>
      <c r="D24" s="1" t="s">
        <v>26</v>
      </c>
      <c r="E24" s="1" t="s">
        <v>79</v>
      </c>
      <c r="F24" s="2" t="s">
        <v>33</v>
      </c>
      <c r="G24" s="3">
        <f>IF(C26="C",25,IF(LWL&lt;18,32,IF(LWL&lt;20,30,25)))</f>
        <v>32</v>
      </c>
      <c r="H24" s="10" t="s">
        <v>29</v>
      </c>
      <c r="I24" s="1" t="s">
        <v>172</v>
      </c>
      <c r="N24" s="5"/>
      <c r="O24" s="28"/>
      <c r="P24" s="24"/>
    </row>
    <row r="25" spans="1:17" ht="18" customHeight="1">
      <c r="A25" s="1" t="s">
        <v>63</v>
      </c>
      <c r="B25" s="2" t="s">
        <v>31</v>
      </c>
      <c r="C25" s="5">
        <f>(BWL^2+(2*Tc)^2)^0.5/BWL*(1.2434*Cm^3-1.4545*Cm^2+0.6935*Cm+0.8614)*AWP</f>
        <v>15.466621706651278</v>
      </c>
      <c r="D25" s="1" t="s">
        <v>26</v>
      </c>
      <c r="E25" s="1" t="s">
        <v>188</v>
      </c>
      <c r="F25" s="2" t="s">
        <v>187</v>
      </c>
      <c r="G25" s="6">
        <f>MIN(RMDCAT,_MHD2)</f>
        <v>44172.696359980764</v>
      </c>
      <c r="H25" s="1" t="s">
        <v>27</v>
      </c>
      <c r="I25" s="1" t="s">
        <v>149</v>
      </c>
      <c r="K25" s="30">
        <f>IF(VT&lt;VW,164*VT^0.66/Tru,"Too much")</f>
        <v>8.3843170655044492</v>
      </c>
      <c r="L25" s="10" t="s">
        <v>29</v>
      </c>
      <c r="O25" s="12"/>
      <c r="P25" s="24"/>
    </row>
    <row r="26" spans="1:17" ht="18" customHeight="1">
      <c r="A26" s="1" t="s">
        <v>113</v>
      </c>
      <c r="C26" s="7" t="str">
        <f>IF(L_B&lt;2.2,IF(SF&gt;A_22,"A",IF(SF&gt;B_22,"B","C")),IF(L_B&gt;3.2,IF(SF&gt;A_32,"A",IF(SF&gt;B_32,"B","C")),IF(SF&gt;40000,"A",IF(SF&gt;15000,"B","C"))))</f>
        <v>B</v>
      </c>
      <c r="E26" s="1" t="s">
        <v>112</v>
      </c>
      <c r="F26" s="2" t="s">
        <v>107</v>
      </c>
      <c r="G26" s="6">
        <f>IF((LH+LWL)/BCB&gt;=4,LMR,MIN(LMR,LMP))</f>
        <v>28858.208244172019</v>
      </c>
      <c r="H26" s="1" t="s">
        <v>27</v>
      </c>
      <c r="I26" s="1" t="s">
        <v>150</v>
      </c>
      <c r="K26" s="30">
        <f>IF(VT&lt;VW,164*VT^0.66/TRr,"Too much")</f>
        <v>10.275142213258308</v>
      </c>
      <c r="L26" s="10" t="s">
        <v>29</v>
      </c>
    </row>
    <row r="27" spans="1:17" ht="18" customHeight="1">
      <c r="A27" s="1" t="s">
        <v>114</v>
      </c>
      <c r="C27" s="6">
        <f>1.75*mMOC*(LH*BCB)^0.5</f>
        <v>20593.791373503245</v>
      </c>
      <c r="E27" s="10" t="s">
        <v>80</v>
      </c>
      <c r="F27" s="11" t="s">
        <v>28</v>
      </c>
      <c r="G27" s="12">
        <f>1.6*(MR/(AS*(HCE+HLP)))^0.5</f>
        <v>16.553417885804539</v>
      </c>
      <c r="H27" s="10" t="s">
        <v>29</v>
      </c>
      <c r="I27" s="1" t="s">
        <v>154</v>
      </c>
      <c r="J27" s="2" t="s">
        <v>148</v>
      </c>
      <c r="K27" s="31">
        <v>16.5</v>
      </c>
      <c r="L27" s="1" t="s">
        <v>29</v>
      </c>
    </row>
    <row r="28" spans="1:17" ht="18" customHeight="1">
      <c r="C28" s="6"/>
      <c r="K28" s="35"/>
    </row>
    <row r="29" spans="1:17" ht="18" customHeight="1">
      <c r="O29" s="26"/>
    </row>
    <row r="30" spans="1:17" ht="18" hidden="1" customHeight="1">
      <c r="A30" s="1" t="s">
        <v>160</v>
      </c>
      <c r="C30" s="6">
        <f>193600/L_B^2</f>
        <v>34760.126400459645</v>
      </c>
      <c r="D30" s="6">
        <f>72600/L_B^2</f>
        <v>13035.047400172365</v>
      </c>
      <c r="E30" s="1" t="s">
        <v>156</v>
      </c>
      <c r="F30" s="21" t="s">
        <v>109</v>
      </c>
      <c r="G30" s="23">
        <f>ATAN(mMOC/254/LWL/BWL/BCB/2)</f>
        <v>0.18789481326295604</v>
      </c>
      <c r="H30" s="1" t="s">
        <v>157</v>
      </c>
      <c r="I30" s="1" t="s">
        <v>156</v>
      </c>
      <c r="K30" s="3">
        <f>180/PI()*FGZmax</f>
        <v>10.765579792366106</v>
      </c>
      <c r="L30" s="29" t="s">
        <v>133</v>
      </c>
    </row>
    <row r="31" spans="1:17" ht="18" hidden="1" customHeight="1">
      <c r="A31" s="1" t="s">
        <v>161</v>
      </c>
      <c r="C31" s="6">
        <f>313600/(6-L_B)^2</f>
        <v>23668.639053254436</v>
      </c>
      <c r="D31" s="6">
        <f>117600/(6-L_B)^2</f>
        <v>8875.7396449704138</v>
      </c>
      <c r="E31" s="1" t="s">
        <v>158</v>
      </c>
      <c r="F31" s="22" t="s">
        <v>110</v>
      </c>
      <c r="G31" s="6">
        <f>9.4*mMOC*(0.5*BCB*COS(FGZmax)-FBI*SIN(FGZmax))</f>
        <v>28858.208244172019</v>
      </c>
      <c r="H31" s="1" t="s">
        <v>27</v>
      </c>
    </row>
    <row r="32" spans="1:17" ht="18" hidden="1" customHeight="1">
      <c r="E32" s="1" t="s">
        <v>159</v>
      </c>
      <c r="F32" s="22" t="s">
        <v>111</v>
      </c>
      <c r="G32" s="6">
        <f>2.45*mMOC*AWP/(2*BWL)</f>
        <v>32775.706782111301</v>
      </c>
      <c r="H32" s="1" t="s">
        <v>27</v>
      </c>
    </row>
    <row r="33" spans="5:8" ht="18" hidden="1" customHeight="1">
      <c r="E33" s="1" t="s">
        <v>190</v>
      </c>
      <c r="F33" s="2" t="s">
        <v>185</v>
      </c>
      <c r="G33" s="6">
        <f>10*mLDC*BCB/2</f>
        <v>47876.486997904867</v>
      </c>
      <c r="H33" s="1" t="s">
        <v>27</v>
      </c>
    </row>
    <row r="34" spans="5:8" ht="18" hidden="1" customHeight="1">
      <c r="E34" s="1" t="s">
        <v>189</v>
      </c>
      <c r="F34" s="2" t="s">
        <v>186</v>
      </c>
      <c r="G34" s="6">
        <f>0.16*AS*VAWK^2*(HCE+HLP)</f>
        <v>44172.696359980764</v>
      </c>
      <c r="H34" s="1" t="s">
        <v>27</v>
      </c>
    </row>
  </sheetData>
  <sheetProtection sheet="1" selectLockedCells="1"/>
  <mergeCells count="2">
    <mergeCell ref="A1:E1"/>
    <mergeCell ref="I1:L1"/>
  </mergeCells>
  <phoneticPr fontId="3" type="noConversion"/>
  <pageMargins left="0.59055118110236227" right="0.15748031496062992" top="0.86" bottom="0.59055118110236227" header="0.49" footer="0.51181102362204722"/>
  <pageSetup paperSize="9" orientation="landscape" r:id="rId1"/>
  <headerFooter alignWithMargins="0">
    <oddHeader>&amp;LHalme Yacht Design&amp;R&amp;D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86</vt:i4>
      </vt:variant>
    </vt:vector>
  </HeadingPairs>
  <TitlesOfParts>
    <vt:vector size="87" baseType="lpstr">
      <vt:lpstr>Parameters</vt:lpstr>
      <vt:lpstr>_MHD2</vt:lpstr>
      <vt:lpstr>A_22</vt:lpstr>
      <vt:lpstr>A_32</vt:lpstr>
      <vt:lpstr>Ad</vt:lpstr>
      <vt:lpstr>AFT</vt:lpstr>
      <vt:lpstr>AG</vt:lpstr>
      <vt:lpstr>aL</vt:lpstr>
      <vt:lpstr>ALB</vt:lpstr>
      <vt:lpstr>ALP</vt:lpstr>
      <vt:lpstr>AMS</vt:lpstr>
      <vt:lpstr>AN</vt:lpstr>
      <vt:lpstr>Ar</vt:lpstr>
      <vt:lpstr>AS</vt:lpstr>
      <vt:lpstr>AWP</vt:lpstr>
      <vt:lpstr>AWS</vt:lpstr>
      <vt:lpstr>B_22</vt:lpstr>
      <vt:lpstr>B_32</vt:lpstr>
      <vt:lpstr>B1H</vt:lpstr>
      <vt:lpstr>BAS</vt:lpstr>
      <vt:lpstr>BCB</vt:lpstr>
      <vt:lpstr>BH</vt:lpstr>
      <vt:lpstr>BMlong</vt:lpstr>
      <vt:lpstr>BMtrans</vt:lpstr>
      <vt:lpstr>BN</vt:lpstr>
      <vt:lpstr>BWL</vt:lpstr>
      <vt:lpstr>BWL_Tc</vt:lpstr>
      <vt:lpstr>Cd</vt:lpstr>
      <vt:lpstr>CL</vt:lpstr>
      <vt:lpstr>CLH</vt:lpstr>
      <vt:lpstr>CLP</vt:lpstr>
      <vt:lpstr>Cm</vt:lpstr>
      <vt:lpstr>Cp</vt:lpstr>
      <vt:lpstr>Cr</vt:lpstr>
      <vt:lpstr>Cw</vt:lpstr>
      <vt:lpstr>D</vt:lpstr>
      <vt:lpstr>Dist</vt:lpstr>
      <vt:lpstr>E</vt:lpstr>
      <vt:lpstr>EP</vt:lpstr>
      <vt:lpstr>FBI</vt:lpstr>
      <vt:lpstr>FGZmax</vt:lpstr>
      <vt:lpstr>FH</vt:lpstr>
      <vt:lpstr>Fs</vt:lpstr>
      <vt:lpstr>FSB</vt:lpstr>
      <vt:lpstr>HCE</vt:lpstr>
      <vt:lpstr>HCEd</vt:lpstr>
      <vt:lpstr>HFT</vt:lpstr>
      <vt:lpstr>HLP</vt:lpstr>
      <vt:lpstr>HM</vt:lpstr>
      <vt:lpstr>HMS</vt:lpstr>
      <vt:lpstr>I</vt:lpstr>
      <vt:lpstr>J</vt:lpstr>
      <vt:lpstr>kE</vt:lpstr>
      <vt:lpstr>kF</vt:lpstr>
      <vt:lpstr>kJ</vt:lpstr>
      <vt:lpstr>kP</vt:lpstr>
      <vt:lpstr>L_B</vt:lpstr>
      <vt:lpstr>Ld</vt:lpstr>
      <vt:lpstr>LDR</vt:lpstr>
      <vt:lpstr>LF</vt:lpstr>
      <vt:lpstr>LH</vt:lpstr>
      <vt:lpstr>LMP</vt:lpstr>
      <vt:lpstr>LMR</vt:lpstr>
      <vt:lpstr>LWL</vt:lpstr>
      <vt:lpstr>LWL_BWL</vt:lpstr>
      <vt:lpstr>MHD</vt:lpstr>
      <vt:lpstr>mLCC</vt:lpstr>
      <vt:lpstr>mLDC</vt:lpstr>
      <vt:lpstr>mMOC</vt:lpstr>
      <vt:lpstr>MR</vt:lpstr>
      <vt:lpstr>MRD</vt:lpstr>
      <vt:lpstr>P</vt:lpstr>
      <vt:lpstr>RMD</vt:lpstr>
      <vt:lpstr>RMDCAT</vt:lpstr>
      <vt:lpstr>SF</vt:lpstr>
      <vt:lpstr>SWR</vt:lpstr>
      <vt:lpstr>Tc</vt:lpstr>
      <vt:lpstr>Td</vt:lpstr>
      <vt:lpstr>Tr</vt:lpstr>
      <vt:lpstr>TRr</vt:lpstr>
      <vt:lpstr>Tru</vt:lpstr>
      <vt:lpstr>VAWK</vt:lpstr>
      <vt:lpstr>Vm</vt:lpstr>
      <vt:lpstr>VT</vt:lpstr>
      <vt:lpstr>Vuw</vt:lpstr>
      <vt:lpstr>VW</vt:lpstr>
      <vt:lpstr>ZWD</vt:lpstr>
    </vt:vector>
  </TitlesOfParts>
  <Company>ESKK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Terho</dc:creator>
  <cp:lastModifiedBy>Home</cp:lastModifiedBy>
  <cp:lastPrinted>2018-12-21T21:12:07Z</cp:lastPrinted>
  <dcterms:created xsi:type="dcterms:W3CDTF">2008-04-04T19:35:45Z</dcterms:created>
  <dcterms:modified xsi:type="dcterms:W3CDTF">2020-10-01T00:29:16Z</dcterms:modified>
</cp:coreProperties>
</file>